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ght_Bulbs" sheetId="1" r:id="rId1"/>
    <sheet name="KWh_Calc" sheetId="2" r:id="rId2"/>
  </sheets>
  <definedNames>
    <definedName name="_xlnm.Print_Area" localSheetId="1">'KWh_Calc'!$B$1:$G$27</definedName>
    <definedName name="_xlnm.Print_Area" localSheetId="0">'Light_Bulbs'!$B$1:$E$38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<sst xmlns="http://schemas.openxmlformats.org/spreadsheetml/2006/main" count="48" uniqueCount="45">
  <si>
    <t>Energy Savings Calculator for Replacing Light Bulbs</t>
  </si>
  <si>
    <r>
      <t xml:space="preserve">CFL
</t>
    </r>
    <r>
      <rPr>
        <sz val="8"/>
        <color indexed="9"/>
        <rFont val="Arial"/>
        <family val="2"/>
      </rPr>
      <t>(Compact Fluorescent Light Bulbs)</t>
    </r>
  </si>
  <si>
    <r>
      <t xml:space="preserve">LED
</t>
    </r>
    <r>
      <rPr>
        <sz val="8"/>
        <color indexed="9"/>
        <rFont val="Arial"/>
        <family val="2"/>
      </rPr>
      <t>(Light-Emitting Diode Light Bulbs)</t>
    </r>
  </si>
  <si>
    <t>Life Span (in hours)</t>
  </si>
  <si>
    <t>Watts</t>
  </si>
  <si>
    <t>Cost</t>
  </si>
  <si>
    <t>KWh of electricty used over 60k hours</t>
  </si>
  <si>
    <t>Bulbs needed for 60k hours of usage</t>
  </si>
  <si>
    <t>Equivalent 60k hour bulb expense</t>
  </si>
  <si>
    <t>Total 60,000 Hour Lighting Spend</t>
  </si>
  <si>
    <t>Calculate Your Energy Savings</t>
  </si>
  <si>
    <t>Your estimated daily usage (hours)</t>
  </si>
  <si>
    <t>Days in month</t>
  </si>
  <si>
    <r>
      <t xml:space="preserve">Household savings over 60,000 hours </t>
    </r>
    <r>
      <rPr>
        <i/>
        <sz val="8"/>
        <rFont val="Arial"/>
        <family val="2"/>
      </rPr>
      <t>(energy + replacement)</t>
    </r>
  </si>
  <si>
    <t>Household cost</t>
  </si>
  <si>
    <t>Monthly household energy savings</t>
  </si>
  <si>
    <t>KWh used per month</t>
  </si>
  <si>
    <t>Yearly household energy savings</t>
  </si>
  <si>
    <t>KWh used per year</t>
  </si>
  <si>
    <t>productdose.com comments:</t>
  </si>
  <si>
    <t>blue font = input your personal data here</t>
  </si>
  <si>
    <t>KWh = Kilowatt-hours</t>
  </si>
  <si>
    <t>Choose KWh rate type: *</t>
  </si>
  <si>
    <t>black font = pre-calculated cells</t>
  </si>
  <si>
    <t>* change the data on the next tab.</t>
  </si>
  <si>
    <t>1 = Average rate</t>
  </si>
  <si>
    <t>underlined text = where to buy / product info</t>
  </si>
  <si>
    <t>2 = Highest rate</t>
  </si>
  <si>
    <t>All data from manufacturer as of 5/2/06</t>
  </si>
  <si>
    <t>3 = Your own rate</t>
  </si>
  <si>
    <t>Calculate Your Monthly Kilowatt-hours</t>
  </si>
  <si>
    <t>Starting Month</t>
  </si>
  <si>
    <t>Month of Bill</t>
  </si>
  <si>
    <t>Total Energy Bill</t>
  </si>
  <si>
    <t>Total Kilowatt-Hours Used</t>
  </si>
  <si>
    <t>Average KWh</t>
  </si>
  <si>
    <t>Highest Rate¹</t>
  </si>
  <si>
    <t>Put in your own rate:</t>
  </si>
  <si>
    <t>blue font = input cells</t>
  </si>
  <si>
    <t>black font = calculated cells</t>
  </si>
  <si>
    <t xml:space="preserve">¹ You can also put in the highest tier rate charged by your utility, figures quoted here are from SC Edison, if you lower your energy </t>
  </si>
  <si>
    <t>bills, the highest rate will be the first amount to get reduced. And you will see a more dramatic difference in your savings</t>
  </si>
  <si>
    <t>Incandescent Light Bulbs</t>
  </si>
  <si>
    <t># of household light bulbs</t>
  </si>
  <si>
    <t>Savings by switching from Incandescent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</si>
</sst>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0_);&quot;($&quot;#,##0.000\)"/>
    <numFmt numFmtId="165" formatCode="\$#,##0.00_);&quot;($&quot;#,##0.00\)"/>
    <numFmt numFmtId="166" formatCode="mmmm\-yy;@"/>
    <numFmt numFmtId="167" formatCode="\$#,##0.00"/>
    <numFmt numFmtId="168" formatCode="#,##0.000_);\(#,##0.000\)"/>
    <numFmt numFmtId="169" formatCode="mm/yyyy"/>
    <numFmt numFmtId="170" formatCode="mmmm\ yy"/>
    <numFmt numFmtId="171" formatCode="0.000_);\(0.000\)"/>
  </numFmts>
  <fonts count="14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7" fontId="4" fillId="0" borderId="0" xfId="0" applyNumberFormat="1" applyFont="1" applyAlignment="1">
      <alignment/>
    </xf>
    <xf numFmtId="164" fontId="6" fillId="0" borderId="0" xfId="19" applyNumberFormat="1" applyFont="1" applyFill="1" applyBorder="1" applyAlignment="1" applyProtection="1">
      <alignment/>
      <protection/>
    </xf>
    <xf numFmtId="165" fontId="6" fillId="0" borderId="0" xfId="19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5" xfId="0" applyFont="1" applyFill="1" applyBorder="1" applyAlignment="1">
      <alignment/>
    </xf>
    <xf numFmtId="37" fontId="4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3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37" fontId="11" fillId="3" borderId="6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/>
    </xf>
    <xf numFmtId="167" fontId="12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9" fontId="4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170" fontId="0" fillId="0" borderId="0" xfId="0" applyNumberFormat="1" applyAlignment="1">
      <alignment horizontal="left"/>
    </xf>
    <xf numFmtId="16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170" fontId="0" fillId="0" borderId="5" xfId="0" applyNumberFormat="1" applyBorder="1" applyAlignment="1">
      <alignment horizontal="left"/>
    </xf>
    <xf numFmtId="167" fontId="4" fillId="0" borderId="5" xfId="0" applyNumberFormat="1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71" fontId="0" fillId="0" borderId="5" xfId="0" applyNumberFormat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165" fontId="4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57421875" style="0" customWidth="1"/>
    <col min="2" max="2" width="39.57421875" style="0" customWidth="1"/>
    <col min="3" max="3" width="24.28125" style="0" customWidth="1"/>
    <col min="4" max="4" width="25.140625" style="0" customWidth="1"/>
    <col min="5" max="5" width="23.8515625" style="0" customWidth="1"/>
    <col min="6" max="6" width="2.57421875" style="0" customWidth="1"/>
    <col min="7" max="7" width="0" style="0" hidden="1" customWidth="1"/>
    <col min="8" max="8" width="0" style="1" hidden="1" customWidth="1"/>
    <col min="9" max="16384" width="0" style="0" hidden="1" customWidth="1"/>
  </cols>
  <sheetData>
    <row r="1" ht="5.25" customHeight="1">
      <c r="H1"/>
    </row>
    <row r="2" spans="2:8" ht="15.75">
      <c r="B2" s="2" t="s">
        <v>0</v>
      </c>
      <c r="C2" s="3"/>
      <c r="D2" s="3"/>
      <c r="E2" s="3"/>
      <c r="H2"/>
    </row>
    <row r="3" ht="5.25" customHeight="1">
      <c r="H3"/>
    </row>
    <row r="4" spans="2:8" ht="23.25" customHeight="1">
      <c r="B4" s="4"/>
      <c r="C4" s="5" t="s">
        <v>42</v>
      </c>
      <c r="D4" s="6" t="s">
        <v>1</v>
      </c>
      <c r="E4" s="7" t="s">
        <v>2</v>
      </c>
      <c r="H4"/>
    </row>
    <row r="5" ht="3" customHeight="1">
      <c r="H5"/>
    </row>
    <row r="6" spans="2:8" ht="12.75">
      <c r="B6" t="s">
        <v>3</v>
      </c>
      <c r="C6" s="8">
        <v>1500</v>
      </c>
      <c r="D6" s="8">
        <v>10000</v>
      </c>
      <c r="E6" s="8">
        <v>60000</v>
      </c>
      <c r="H6"/>
    </row>
    <row r="7" spans="2:8" ht="12.75">
      <c r="B7" t="s">
        <v>4</v>
      </c>
      <c r="C7" s="8">
        <v>60</v>
      </c>
      <c r="D7" s="8">
        <v>14</v>
      </c>
      <c r="E7" s="8">
        <v>6</v>
      </c>
      <c r="H7"/>
    </row>
    <row r="8" spans="2:8" ht="12.75">
      <c r="B8" t="s">
        <v>5</v>
      </c>
      <c r="C8" s="9">
        <f>2.69/2</f>
        <v>1.345</v>
      </c>
      <c r="D8" s="10">
        <f>11.92/4</f>
        <v>2.98</v>
      </c>
      <c r="E8" s="10">
        <v>54.95</v>
      </c>
      <c r="H8"/>
    </row>
    <row r="9" spans="2:8" ht="12.75">
      <c r="B9" t="s">
        <v>6</v>
      </c>
      <c r="C9" s="1">
        <f>+(C7*$E$6)/1000</f>
        <v>3600</v>
      </c>
      <c r="D9" s="1">
        <f>+(D7*$E$6)/1000</f>
        <v>840</v>
      </c>
      <c r="E9" s="1">
        <f>+(E7*$E$6)/1000</f>
        <v>360</v>
      </c>
      <c r="H9"/>
    </row>
    <row r="10" spans="2:8" ht="12.75">
      <c r="B10" t="str">
        <f>+"Electricity Cost (@ "&amp;TEXT(CHOOSE(Light_Bulbs!$E$36,KWh_Calc!$E$19,KWh_Calc!$G$19,KWh_Calc!$E$21),"$0.00")&amp;" per KWh)"</f>
        <v>Electricity Cost (@ $0.23 per KWh)</v>
      </c>
      <c r="C10" s="11">
        <f>+C9*CHOOSE(Light_Bulbs!$E$36,KWh_Calc!$E$19,KWh_Calc!$G$19,KWh_Calc!$E$21)</f>
        <v>821.7179999999998</v>
      </c>
      <c r="D10" s="11">
        <f>+D9*CHOOSE(Light_Bulbs!$E$36,KWh_Calc!$E$19,KWh_Calc!$G$19,KWh_Calc!$E$21)</f>
        <v>191.73419999999996</v>
      </c>
      <c r="E10" s="11">
        <f>+E9*CHOOSE(Light_Bulbs!$E$36,KWh_Calc!$E$19,KWh_Calc!$G$19,KWh_Calc!$E$21)</f>
        <v>82.17179999999999</v>
      </c>
      <c r="H10"/>
    </row>
    <row r="11" spans="2:8" ht="12.75">
      <c r="B11" t="s">
        <v>7</v>
      </c>
      <c r="C11" s="1">
        <f>ROUNDDOWN($E$6/C6,0)</f>
        <v>40</v>
      </c>
      <c r="D11" s="1">
        <f>ROUNDDOWN($E$6/D6,0)</f>
        <v>6</v>
      </c>
      <c r="E11" s="1">
        <f>ROUNDDOWN($E$6/E6,0)</f>
        <v>1</v>
      </c>
      <c r="H11"/>
    </row>
    <row r="12" spans="2:8" ht="12.75">
      <c r="B12" s="12" t="s">
        <v>8</v>
      </c>
      <c r="C12" s="13">
        <f>C11*C8</f>
        <v>53.8</v>
      </c>
      <c r="D12" s="13">
        <f>D11*D8</f>
        <v>17.88</v>
      </c>
      <c r="E12" s="13">
        <f>E11*E8</f>
        <v>54.95</v>
      </c>
      <c r="H12"/>
    </row>
    <row r="13" spans="2:8" ht="12.75">
      <c r="B13" s="14" t="s">
        <v>9</v>
      </c>
      <c r="C13" s="15">
        <f>+C10+C12:C12</f>
        <v>875.5179999999998</v>
      </c>
      <c r="D13" s="15">
        <f>+D10+D12:D12</f>
        <v>209.61419999999995</v>
      </c>
      <c r="E13" s="15">
        <f>+E10+E12:E12</f>
        <v>137.1218</v>
      </c>
      <c r="H13"/>
    </row>
    <row r="14" ht="12.75">
      <c r="H14"/>
    </row>
    <row r="15" spans="2:8" ht="12.75">
      <c r="B15" s="16" t="s">
        <v>10</v>
      </c>
      <c r="C15" s="3"/>
      <c r="D15" s="3"/>
      <c r="E15" s="3"/>
      <c r="H15"/>
    </row>
    <row r="16" ht="3" customHeight="1">
      <c r="H16"/>
    </row>
    <row r="17" spans="2:8" ht="12.75">
      <c r="B17" s="17" t="s">
        <v>43</v>
      </c>
      <c r="C17" s="8">
        <v>30</v>
      </c>
      <c r="D17" s="8">
        <v>30</v>
      </c>
      <c r="E17" s="8">
        <v>30</v>
      </c>
      <c r="H17"/>
    </row>
    <row r="18" spans="2:8" ht="12.75" customHeight="1">
      <c r="B18" t="s">
        <v>11</v>
      </c>
      <c r="C18" s="8">
        <v>5</v>
      </c>
      <c r="D18" s="8">
        <v>5</v>
      </c>
      <c r="E18" s="8">
        <v>5</v>
      </c>
      <c r="H18"/>
    </row>
    <row r="19" spans="2:8" ht="12.75" customHeight="1">
      <c r="B19" t="s">
        <v>12</v>
      </c>
      <c r="C19" s="8">
        <v>30</v>
      </c>
      <c r="D19" s="8">
        <v>30</v>
      </c>
      <c r="E19" s="8">
        <v>30</v>
      </c>
      <c r="H19"/>
    </row>
    <row r="20" spans="2:8" ht="3.75" customHeight="1">
      <c r="B20" s="17"/>
      <c r="C20" s="8"/>
      <c r="D20" s="8"/>
      <c r="E20" s="8"/>
      <c r="H20"/>
    </row>
    <row r="21" spans="2:5" ht="12.75">
      <c r="B21" s="18" t="s">
        <v>13</v>
      </c>
      <c r="C21" s="19"/>
      <c r="D21" s="19"/>
      <c r="E21" s="19"/>
    </row>
    <row r="22" spans="2:5" ht="12.75">
      <c r="B22" s="17" t="s">
        <v>14</v>
      </c>
      <c r="C22" s="11">
        <f>+C17*C13</f>
        <v>26265.539999999994</v>
      </c>
      <c r="D22" s="11">
        <f>+D17*D13</f>
        <v>6288.425999999999</v>
      </c>
      <c r="E22" s="11">
        <f>+E17*E13</f>
        <v>4113.654</v>
      </c>
    </row>
    <row r="23" spans="2:5" ht="12.75">
      <c r="B23" s="17" t="s">
        <v>44</v>
      </c>
      <c r="C23" s="11">
        <f>+$C$22-C22</f>
        <v>0</v>
      </c>
      <c r="D23" s="11">
        <f>+$C$22-D22</f>
        <v>19977.113999999994</v>
      </c>
      <c r="E23" s="11">
        <f>+C22-E22</f>
        <v>22151.88599999999</v>
      </c>
    </row>
    <row r="24" ht="4.5" customHeight="1">
      <c r="H24"/>
    </row>
    <row r="25" spans="2:5" ht="12.75" customHeight="1">
      <c r="B25" s="20" t="s">
        <v>15</v>
      </c>
      <c r="C25" s="12"/>
      <c r="D25" s="12"/>
      <c r="E25" s="12"/>
    </row>
    <row r="26" spans="2:5" ht="12.75" customHeight="1">
      <c r="B26" t="s">
        <v>16</v>
      </c>
      <c r="C26" s="21">
        <f>(C19*C18*C7*C17)/1000</f>
        <v>270</v>
      </c>
      <c r="D26" s="21">
        <f>(D19*D18*D7*D17)/1000</f>
        <v>63</v>
      </c>
      <c r="E26" s="21">
        <f>(E19*E18*E7*E17)/1000</f>
        <v>27</v>
      </c>
    </row>
    <row r="27" spans="2:5" ht="12.75">
      <c r="B27" t="str">
        <f>+"Electricity Cost (@ "&amp;TEXT(CHOOSE(Light_Bulbs!$E$36,KWh_Calc!$E$19,KWh_Calc!$G$19,KWh_Calc!$E$21),"$0.00")&amp;" per KWh)"</f>
        <v>Electricity Cost (@ $0.23 per KWh)</v>
      </c>
      <c r="C27" s="11">
        <f>C26*CHOOSE(Light_Bulbs!$E$36,KWh_Calc!$E$19,KWh_Calc!$G$19,KWh_Calc!$E$21)</f>
        <v>61.628849999999986</v>
      </c>
      <c r="D27" s="11">
        <f>D26*CHOOSE(Light_Bulbs!$E$36,KWh_Calc!$E$19,KWh_Calc!$G$19,KWh_Calc!$E$21)</f>
        <v>14.380064999999997</v>
      </c>
      <c r="E27" s="11">
        <f>E26*CHOOSE(Light_Bulbs!$E$36,KWh_Calc!$E$19,KWh_Calc!$G$19,KWh_Calc!$E$21)</f>
        <v>6.162884999999999</v>
      </c>
    </row>
    <row r="28" spans="2:5" ht="12.75">
      <c r="B28" t="s">
        <v>44</v>
      </c>
      <c r="C28" s="11">
        <f>+$C27-C27</f>
        <v>0</v>
      </c>
      <c r="D28" s="11">
        <f>+$C27-D27</f>
        <v>47.24878499999999</v>
      </c>
      <c r="E28" s="11">
        <f>+$C27-E27</f>
        <v>55.46596499999998</v>
      </c>
    </row>
    <row r="29" ht="4.5" customHeight="1">
      <c r="A29" s="22"/>
    </row>
    <row r="30" spans="1:8" s="23" customFormat="1" ht="12.75">
      <c r="A30"/>
      <c r="B30" s="20" t="s">
        <v>17</v>
      </c>
      <c r="C30" s="20"/>
      <c r="D30" s="20"/>
      <c r="E30" s="20"/>
      <c r="H30" s="1"/>
    </row>
    <row r="31" spans="1:8" s="23" customFormat="1" ht="12.75">
      <c r="A31"/>
      <c r="B31" t="s">
        <v>18</v>
      </c>
      <c r="C31" s="24">
        <f>(C7*C17*C18*365)/1000</f>
        <v>3285</v>
      </c>
      <c r="D31" s="24">
        <f>(D7*D17*D18*365)/1000</f>
        <v>766.5</v>
      </c>
      <c r="E31" s="24">
        <f>(E7*E17*E18*365)/1000</f>
        <v>328.5</v>
      </c>
      <c r="H31" s="1"/>
    </row>
    <row r="32" spans="1:5" s="23" customFormat="1" ht="12.75">
      <c r="A32"/>
      <c r="B32" t="str">
        <f>+"Electricity Cost (@ "&amp;TEXT(CHOOSE(Light_Bulbs!$E$36,KWh_Calc!$E$19,KWh_Calc!$G$19,KWh_Calc!$E$21),"$0.00")&amp;" per KWh)"</f>
        <v>Electricity Cost (@ $0.23 per KWh)</v>
      </c>
      <c r="C32" s="11">
        <f>C31*CHOOSE(Light_Bulbs!$E$36,KWh_Calc!$E$19,KWh_Calc!$G$19,KWh_Calc!$E$21)</f>
        <v>749.8176749999999</v>
      </c>
      <c r="D32" s="11">
        <f>D31*CHOOSE(Light_Bulbs!$E$36,KWh_Calc!$E$19,KWh_Calc!$G$19,KWh_Calc!$E$21)</f>
        <v>174.95745749999998</v>
      </c>
      <c r="E32" s="11">
        <f>E31*CHOOSE(Light_Bulbs!$E$36,KWh_Calc!$E$19,KWh_Calc!$G$19,KWh_Calc!$E$21)</f>
        <v>74.98176749999999</v>
      </c>
    </row>
    <row r="33" spans="1:5" s="23" customFormat="1" ht="12.75">
      <c r="A33"/>
      <c r="B33" t="s">
        <v>44</v>
      </c>
      <c r="C33" s="11">
        <f>+$C32-C32</f>
        <v>0</v>
      </c>
      <c r="D33" s="11">
        <f>+$C32-D32</f>
        <v>574.8602174999999</v>
      </c>
      <c r="E33" s="11">
        <f>+$C32-E32</f>
        <v>674.8359074999998</v>
      </c>
    </row>
    <row r="34" spans="1:5" s="23" customFormat="1" ht="12.75">
      <c r="A34"/>
      <c r="B34" s="20"/>
      <c r="C34" s="20"/>
      <c r="D34" s="20"/>
      <c r="E34" s="20"/>
    </row>
    <row r="35" ht="12.75">
      <c r="B35" s="25" t="s">
        <v>19</v>
      </c>
    </row>
    <row r="36" spans="2:5" ht="12.75">
      <c r="B36" s="26" t="s">
        <v>20</v>
      </c>
      <c r="C36" s="27" t="s">
        <v>21</v>
      </c>
      <c r="D36" s="28" t="s">
        <v>22</v>
      </c>
      <c r="E36" s="29">
        <v>2</v>
      </c>
    </row>
    <row r="37" spans="2:5" ht="12.75">
      <c r="B37" s="27" t="s">
        <v>23</v>
      </c>
      <c r="D37" s="30" t="s">
        <v>24</v>
      </c>
      <c r="E37" s="31" t="s">
        <v>25</v>
      </c>
    </row>
    <row r="38" spans="2:5" ht="12.75">
      <c r="B38" s="27" t="s">
        <v>26</v>
      </c>
      <c r="D38" s="28"/>
      <c r="E38" s="31" t="s">
        <v>27</v>
      </c>
    </row>
    <row r="39" spans="2:5" ht="12.75">
      <c r="B39" s="27" t="s">
        <v>28</v>
      </c>
      <c r="D39" s="28"/>
      <c r="E39" s="31" t="s">
        <v>29</v>
      </c>
    </row>
    <row r="40" ht="12.75">
      <c r="D40" s="3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2.57421875" style="0" customWidth="1"/>
    <col min="2" max="2" width="32.8515625" style="0" customWidth="1"/>
    <col min="3" max="3" width="24.140625" style="33" customWidth="1"/>
    <col min="4" max="4" width="23.28125" style="34" customWidth="1"/>
    <col min="5" max="5" width="20.00390625" style="35" customWidth="1"/>
    <col min="6" max="6" width="2.28125" style="0" customWidth="1"/>
    <col min="7" max="7" width="20.7109375" style="0" customWidth="1"/>
    <col min="8" max="8" width="2.57421875" style="0" customWidth="1"/>
    <col min="9" max="16384" width="0" style="0" hidden="1" customWidth="1"/>
  </cols>
  <sheetData>
    <row r="1" spans="3:5" ht="5.25" customHeight="1">
      <c r="C1"/>
      <c r="D1"/>
      <c r="E1"/>
    </row>
    <row r="2" spans="2:7" ht="15.75">
      <c r="B2" s="2" t="s">
        <v>30</v>
      </c>
      <c r="C2" s="3"/>
      <c r="D2" s="3"/>
      <c r="E2" s="3"/>
      <c r="F2" s="3"/>
      <c r="G2" s="3"/>
    </row>
    <row r="3" spans="3:5" ht="4.5" customHeight="1">
      <c r="C3"/>
      <c r="D3"/>
      <c r="E3"/>
    </row>
    <row r="4" spans="3:7" ht="12.75">
      <c r="C4"/>
      <c r="D4"/>
      <c r="E4" s="36" t="s">
        <v>31</v>
      </c>
      <c r="G4" s="37">
        <v>38808</v>
      </c>
    </row>
    <row r="5" spans="3:5" ht="12.75">
      <c r="C5"/>
      <c r="D5"/>
      <c r="E5"/>
    </row>
    <row r="6" spans="2:7" ht="24" customHeight="1">
      <c r="B6" s="38" t="s">
        <v>32</v>
      </c>
      <c r="C6" s="39" t="s">
        <v>33</v>
      </c>
      <c r="D6" s="39" t="s">
        <v>34</v>
      </c>
      <c r="E6" s="39" t="s">
        <v>35</v>
      </c>
      <c r="F6" s="40"/>
      <c r="G6" s="41" t="s">
        <v>36</v>
      </c>
    </row>
    <row r="7" spans="2:7" ht="12.75">
      <c r="B7" s="42">
        <f>+EOMONTH($G$4,0)</f>
        <v>38837</v>
      </c>
      <c r="C7" s="43">
        <v>100</v>
      </c>
      <c r="D7" s="44">
        <v>1000</v>
      </c>
      <c r="E7" s="35">
        <f>IF(ISERROR(C7/D7),"",C7/D7)</f>
        <v>0.1</v>
      </c>
      <c r="G7" s="45">
        <f>0.22402+0.10479</f>
        <v>0.32881</v>
      </c>
    </row>
    <row r="8" spans="2:7" ht="12.75">
      <c r="B8" s="42">
        <f>+EOMONTH($G$4,-1)</f>
        <v>38807</v>
      </c>
      <c r="C8" s="43">
        <v>100</v>
      </c>
      <c r="D8" s="44">
        <v>1000</v>
      </c>
      <c r="E8" s="35">
        <f>IF(ISERROR(C8/D8),"",C8/D8)</f>
        <v>0.1</v>
      </c>
      <c r="G8" s="45">
        <f>0.22402+0.10479</f>
        <v>0.32881</v>
      </c>
    </row>
    <row r="9" spans="2:7" ht="12.75">
      <c r="B9" s="42">
        <f>+EOMONTH($G$4,-2)</f>
        <v>38776</v>
      </c>
      <c r="C9" s="43">
        <v>100</v>
      </c>
      <c r="D9" s="44">
        <v>1000</v>
      </c>
      <c r="E9" s="35">
        <f aca="true" t="shared" si="0" ref="E9:E18">IF(ISERROR(C9/D9),"",C9/D9)</f>
        <v>0.1</v>
      </c>
      <c r="G9" s="45">
        <f>0.10971+0.12287</f>
        <v>0.23258</v>
      </c>
    </row>
    <row r="10" spans="2:7" ht="12.75">
      <c r="B10" s="42">
        <f>+EOMONTH($G$4,-3)</f>
        <v>38748</v>
      </c>
      <c r="C10" s="43">
        <v>100</v>
      </c>
      <c r="D10" s="44">
        <v>1000</v>
      </c>
      <c r="E10" s="35">
        <f t="shared" si="0"/>
        <v>0.1</v>
      </c>
      <c r="G10" s="45">
        <f>0.10938+0.08602</f>
        <v>0.19540000000000002</v>
      </c>
    </row>
    <row r="11" spans="2:7" ht="12.75">
      <c r="B11" s="42">
        <f>+EOMONTH($G$4,-4)</f>
        <v>38717</v>
      </c>
      <c r="C11" s="43">
        <v>100</v>
      </c>
      <c r="D11" s="44">
        <v>1000</v>
      </c>
      <c r="E11" s="35">
        <f t="shared" si="0"/>
        <v>0.1</v>
      </c>
      <c r="G11" s="45">
        <f>0.10938+0.08602</f>
        <v>0.19540000000000002</v>
      </c>
    </row>
    <row r="12" spans="2:7" ht="12.75">
      <c r="B12" s="42">
        <f>+EOMONTH($G$4,-5)</f>
        <v>38686</v>
      </c>
      <c r="C12" s="43">
        <v>100</v>
      </c>
      <c r="D12" s="44">
        <v>1000</v>
      </c>
      <c r="E12" s="35">
        <f t="shared" si="0"/>
        <v>0.1</v>
      </c>
      <c r="G12" s="45">
        <f>0.10938+0.08602</f>
        <v>0.19540000000000002</v>
      </c>
    </row>
    <row r="13" spans="2:7" ht="12.75">
      <c r="B13" s="42">
        <f>+EOMONTH($G$4,-6)</f>
        <v>38656</v>
      </c>
      <c r="C13" s="43">
        <v>100</v>
      </c>
      <c r="D13" s="44">
        <v>1000</v>
      </c>
      <c r="E13" s="35">
        <f t="shared" si="0"/>
        <v>0.1</v>
      </c>
      <c r="G13" s="45">
        <f>0.04138+0.17729</f>
        <v>0.21867</v>
      </c>
    </row>
    <row r="14" spans="2:7" ht="12.75">
      <c r="B14" s="42">
        <f>+EOMONTH($G$4,-7)</f>
        <v>38625</v>
      </c>
      <c r="C14" s="43">
        <v>100</v>
      </c>
      <c r="D14" s="44">
        <v>1000</v>
      </c>
      <c r="E14" s="35">
        <f t="shared" si="0"/>
        <v>0.1</v>
      </c>
      <c r="G14" s="45">
        <f>0.04138+0.17729</f>
        <v>0.21867</v>
      </c>
    </row>
    <row r="15" spans="2:7" ht="12.75">
      <c r="B15" s="42">
        <f>+EOMONTH($G$4,-8)</f>
        <v>38595</v>
      </c>
      <c r="C15" s="43">
        <v>100</v>
      </c>
      <c r="D15" s="44">
        <v>1000</v>
      </c>
      <c r="E15" s="35">
        <f t="shared" si="0"/>
        <v>0.1</v>
      </c>
      <c r="G15" s="45">
        <f>0.04138+0.17729</f>
        <v>0.21867</v>
      </c>
    </row>
    <row r="16" spans="2:7" ht="12.75">
      <c r="B16" s="42">
        <f>+EOMONTH($G$4,-9)</f>
        <v>38564</v>
      </c>
      <c r="C16" s="43">
        <v>100</v>
      </c>
      <c r="D16" s="44">
        <v>1000</v>
      </c>
      <c r="E16" s="35">
        <f t="shared" si="0"/>
        <v>0.1</v>
      </c>
      <c r="G16" s="45">
        <f>0.04044+0.17729</f>
        <v>0.21773</v>
      </c>
    </row>
    <row r="17" spans="2:7" ht="12.75">
      <c r="B17" s="42">
        <f>+EOMONTH($G$4,-10)</f>
        <v>38533</v>
      </c>
      <c r="C17" s="43">
        <v>100</v>
      </c>
      <c r="D17" s="44">
        <v>1000</v>
      </c>
      <c r="E17" s="35">
        <f t="shared" si="0"/>
        <v>0.1</v>
      </c>
      <c r="G17" s="45">
        <f>0.10844+0.08602</f>
        <v>0.19446</v>
      </c>
    </row>
    <row r="18" spans="2:7" ht="12.75">
      <c r="B18" s="46">
        <f>+EOMONTH($G$4,-11)</f>
        <v>38503</v>
      </c>
      <c r="C18" s="47">
        <v>100</v>
      </c>
      <c r="D18" s="48">
        <v>1000</v>
      </c>
      <c r="E18" s="49">
        <f t="shared" si="0"/>
        <v>0.1</v>
      </c>
      <c r="F18" s="12"/>
      <c r="G18" s="50">
        <f>0.10844+0.08602</f>
        <v>0.19446</v>
      </c>
    </row>
    <row r="19" spans="2:7" ht="12.75">
      <c r="B19" s="51"/>
      <c r="C19" s="52">
        <f>SUM(C7:C18)</f>
        <v>1200</v>
      </c>
      <c r="D19" s="53">
        <f>SUM(D7:D18)</f>
        <v>12000</v>
      </c>
      <c r="E19" s="54">
        <f>+AVERAGE(E7:E18)</f>
        <v>0.09999999999999999</v>
      </c>
      <c r="G19" s="54">
        <f>+AVERAGE(G7:G18)</f>
        <v>0.22825499999999996</v>
      </c>
    </row>
    <row r="20" ht="12.75">
      <c r="B20" s="32"/>
    </row>
    <row r="21" spans="2:5" ht="12.75">
      <c r="B21" s="32"/>
      <c r="D21" s="34" t="s">
        <v>37</v>
      </c>
      <c r="E21" s="57">
        <v>0.329</v>
      </c>
    </row>
    <row r="22" spans="2:7" ht="12.75">
      <c r="B22" s="20"/>
      <c r="C22" s="20"/>
      <c r="D22" s="20"/>
      <c r="E22" s="20"/>
      <c r="F22" s="20"/>
      <c r="G22" s="20"/>
    </row>
    <row r="23" spans="2:5" ht="12.75">
      <c r="B23" s="25" t="s">
        <v>19</v>
      </c>
      <c r="C23"/>
      <c r="D23"/>
      <c r="E23"/>
    </row>
    <row r="24" spans="2:5" ht="12.75">
      <c r="B24" s="26" t="s">
        <v>38</v>
      </c>
      <c r="C24"/>
      <c r="D24"/>
      <c r="E24"/>
    </row>
    <row r="25" spans="2:5" ht="12.75">
      <c r="B25" s="27" t="s">
        <v>39</v>
      </c>
      <c r="C25"/>
      <c r="D25"/>
      <c r="E25"/>
    </row>
    <row r="26" ht="12.75">
      <c r="B26" s="55" t="s">
        <v>40</v>
      </c>
    </row>
    <row r="27" ht="12.75">
      <c r="B27" s="56" t="s">
        <v>41</v>
      </c>
    </row>
    <row r="28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productdose</dc:creator>
  <cp:keywords/>
  <dc:description/>
  <cp:lastModifiedBy>Robert ONeill</cp:lastModifiedBy>
  <cp:lastPrinted>2006-05-01T20:42:23Z</cp:lastPrinted>
  <dcterms:created xsi:type="dcterms:W3CDTF">2006-04-28T17:57:02Z</dcterms:created>
  <dcterms:modified xsi:type="dcterms:W3CDTF">2006-05-08T17:00:05Z</dcterms:modified>
  <cp:category/>
  <cp:version/>
  <cp:contentType/>
  <cp:contentStatus/>
  <cp:revision>1</cp:revision>
</cp:coreProperties>
</file>